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pecopassport-my.sharepoint.com/personal/dg_pep-ecopassport_com/Documents/Documents internes/MAJ des PSR/PSR0018/"/>
    </mc:Choice>
  </mc:AlternateContent>
  <xr:revisionPtr revIDLastSave="51" documentId="8_{EBB0C6BC-AA80-4C57-9591-3E8E29E58F10}" xr6:coauthVersionLast="47" xr6:coauthVersionMax="47" xr10:uidLastSave="{8A3DBC19-6A67-46E7-99D3-48935FE44546}"/>
  <bookViews>
    <workbookView xWindow="-120" yWindow="-120" windowWidth="29040" windowHeight="17520" xr2:uid="{00000000-000D-0000-FFFF-FFFF00000000}"/>
  </bookViews>
  <sheets>
    <sheet name="Feuil1" sheetId="1" r:id="rId1"/>
    <sheet name="Feuil2" sheetId="2" r:id="rId2"/>
  </sheets>
  <definedNames>
    <definedName name="_xlnm._FilterDatabase" localSheetId="0" hidden="1">Feuil1!$A$13:$C$17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F36" i="1"/>
  <c r="B36" i="1"/>
  <c r="B35" i="1"/>
  <c r="R35" i="1"/>
  <c r="N35" i="1"/>
  <c r="F24" i="1"/>
  <c r="B24" i="1"/>
  <c r="J41" i="1"/>
  <c r="R55" i="1"/>
  <c r="J55" i="1"/>
  <c r="N55" i="1"/>
  <c r="R53" i="1"/>
  <c r="F55" i="1"/>
  <c r="J53" i="1"/>
  <c r="N53" i="1"/>
  <c r="F53" i="1"/>
  <c r="F27" i="1"/>
  <c r="F35" i="1" s="1"/>
  <c r="F61" i="1" l="1"/>
  <c r="G42" i="1" l="1"/>
  <c r="F51" i="1" s="1"/>
  <c r="F44" i="1" l="1"/>
  <c r="J15" i="1" l="1"/>
  <c r="B44" i="1"/>
  <c r="H42" i="1"/>
  <c r="J44" i="1" l="1"/>
  <c r="J24" i="1"/>
  <c r="J36" i="1" s="1"/>
  <c r="R30" i="1"/>
  <c r="N30" i="1"/>
  <c r="J30" i="1"/>
  <c r="N24" i="1"/>
  <c r="N36" i="1" s="1"/>
  <c r="N41" i="1" s="1"/>
  <c r="R45" i="1"/>
  <c r="R24" i="1"/>
  <c r="R36" i="1" s="1"/>
  <c r="J33" i="1"/>
  <c r="F46" i="1"/>
  <c r="J45" i="1"/>
  <c r="F28" i="1"/>
  <c r="F30" i="1" s="1"/>
  <c r="B46" i="1"/>
  <c r="B27" i="1"/>
  <c r="B61" i="1" s="1"/>
  <c r="F32" i="1" l="1"/>
  <c r="F45" i="1" s="1"/>
  <c r="F41" i="1" s="1"/>
  <c r="J46" i="1"/>
  <c r="R41" i="1"/>
  <c r="R61" i="1"/>
  <c r="R46" i="1"/>
  <c r="N46" i="1"/>
  <c r="R57" i="1"/>
  <c r="R50" i="1" s="1"/>
  <c r="J61" i="1"/>
  <c r="B28" i="1"/>
  <c r="B30" i="1" s="1"/>
  <c r="B32" i="1" s="1"/>
  <c r="B45" i="1" s="1"/>
  <c r="H36" i="1" l="1"/>
  <c r="F57" i="1"/>
  <c r="R67" i="1"/>
  <c r="R65" i="1"/>
  <c r="N45" i="1"/>
  <c r="J57" i="1"/>
  <c r="J50" i="1" l="1"/>
  <c r="J67" i="1" s="1"/>
  <c r="F50" i="1"/>
  <c r="F67" i="1" s="1"/>
  <c r="N57" i="1"/>
  <c r="N50" i="1" s="1"/>
  <c r="N65" i="1" s="1"/>
  <c r="N61" i="1"/>
  <c r="J65" i="1" l="1"/>
  <c r="N67" i="1"/>
  <c r="F65" i="1"/>
  <c r="B67" i="1" l="1"/>
  <c r="B41" i="1"/>
  <c r="B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DDemain</author>
  </authors>
  <commentList>
    <comment ref="F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DDemain:</t>
        </r>
        <r>
          <rPr>
            <sz val="9"/>
            <color indexed="81"/>
            <rFont val="Tahoma"/>
            <family val="2"/>
          </rPr>
          <t xml:space="preserve">
3,7 - 7 - 11-22 kW</t>
        </r>
      </text>
    </comment>
    <comment ref="R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DDemain:</t>
        </r>
        <r>
          <rPr>
            <sz val="9"/>
            <color indexed="81"/>
            <rFont val="Tahoma"/>
            <family val="2"/>
          </rPr>
          <t xml:space="preserve">
50 et +</t>
        </r>
      </text>
    </comment>
  </commentList>
</comments>
</file>

<file path=xl/sharedStrings.xml><?xml version="1.0" encoding="utf-8"?>
<sst xmlns="http://schemas.openxmlformats.org/spreadsheetml/2006/main" count="180" uniqueCount="70">
  <si>
    <t>Durée de vie de référence</t>
  </si>
  <si>
    <t>Trajet quotidien</t>
  </si>
  <si>
    <t>% des usages couverts par la recharge à domicile</t>
  </si>
  <si>
    <t>ans</t>
  </si>
  <si>
    <t>km</t>
  </si>
  <si>
    <t>distance couverte grâce à une recharge</t>
  </si>
  <si>
    <t>quantité d'électricité nécessaire pour parcourir 100 km</t>
  </si>
  <si>
    <t>kWh/100km</t>
  </si>
  <si>
    <t>quantité d'électricité délivrée pour une recharge</t>
  </si>
  <si>
    <t>kWh</t>
  </si>
  <si>
    <t>Puissance de recharge de la borne</t>
  </si>
  <si>
    <t>kW</t>
  </si>
  <si>
    <t>distance parcourue sur 1 semaine et rechargé à domicile</t>
  </si>
  <si>
    <t>heures</t>
  </si>
  <si>
    <t>Nombre de km réalisé grâce à la borne sur sa DVR</t>
  </si>
  <si>
    <t>Nombre de recharge sur la DVR</t>
  </si>
  <si>
    <t>Prise murale</t>
  </si>
  <si>
    <t>Consommation de la borne associée aux pertes/Puissance dissipée pour l'unité déclarée (produit)</t>
  </si>
  <si>
    <t>=R*I²*T*X</t>
  </si>
  <si>
    <t xml:space="preserve">avec </t>
  </si>
  <si>
    <t xml:space="preserve">T = Durée de recharge unitaire </t>
  </si>
  <si>
    <t>X = nombres de recharges sur la durée de vie de référence</t>
  </si>
  <si>
    <t xml:space="preserve">Bornes AC </t>
  </si>
  <si>
    <t>Type d'usage</t>
  </si>
  <si>
    <t>privé</t>
  </si>
  <si>
    <t>Nombre de point de recharge</t>
  </si>
  <si>
    <t>1 ou 2</t>
  </si>
  <si>
    <t>1 à n</t>
  </si>
  <si>
    <t>Facteurs de conversion entre unité déclarée et unité fonctionnelle</t>
  </si>
  <si>
    <t>Consommation intrinsèque de la borne</t>
  </si>
  <si>
    <t>=(Pactif*%Tactif+Pveille*%Tveille+Poff*%Toff)*DVR</t>
  </si>
  <si>
    <t>Pactif = Puissance en fonctionnement (prise branchée et en charge)</t>
  </si>
  <si>
    <t>Pva = Puissance en veille active (prise branchée et charge terminée)</t>
  </si>
  <si>
    <t>%Tactif</t>
  </si>
  <si>
    <t>Durée de la recharge effective</t>
  </si>
  <si>
    <t>Durée totale de la recharge</t>
  </si>
  <si>
    <t>%Tva</t>
  </si>
  <si>
    <t>%Tvp+%Toff</t>
  </si>
  <si>
    <t>NA</t>
  </si>
  <si>
    <t>Pvp = Puissance prise en veille passive (prise non branchée)
Poff = Puissance off (prise non branchée et non traversée par un courant)</t>
  </si>
  <si>
    <t>Consommation totale CdV pour le produit</t>
  </si>
  <si>
    <t>Consommation totale CdV pour l'unité fonctionnelle</t>
  </si>
  <si>
    <t>Ohm</t>
  </si>
  <si>
    <t>Ampère</t>
  </si>
  <si>
    <t>Nombre de recharge périodique</t>
  </si>
  <si>
    <t>par semaine</t>
  </si>
  <si>
    <t>par jour</t>
  </si>
  <si>
    <t>Bornes DC</t>
  </si>
  <si>
    <t>E = rendement du convertisseur</t>
  </si>
  <si>
    <t>=(1-E)*Qd</t>
  </si>
  <si>
    <t>Quantité moyenne d'énergie délivrée pour un point de charge sur la DVR de la borne (Qd)</t>
  </si>
  <si>
    <t>PSR IRVE - Calculateur des consommations en phase d'usage</t>
  </si>
  <si>
    <t>RESULTATS FINAUX</t>
  </si>
  <si>
    <t>UNITE FONCTIONNELLE</t>
  </si>
  <si>
    <t>CALCULS DE CONSOMMATION EN PHASE D'USAGE</t>
  </si>
  <si>
    <t>HYPOTHESES</t>
  </si>
  <si>
    <t>CARACTERISTIQUES DE LA BORNE</t>
  </si>
  <si>
    <t>Mode d'emploi</t>
  </si>
  <si>
    <t>(jaune cellule à modifier)</t>
  </si>
  <si>
    <t>(orange - résultat de calcul important)</t>
  </si>
  <si>
    <t>privé/semi public</t>
  </si>
  <si>
    <t>public</t>
  </si>
  <si>
    <t>R = Résistance des contacts fermés</t>
  </si>
  <si>
    <t>Bornes AC  - Wallbox</t>
  </si>
  <si>
    <t>I = Intensité = 100%In ou somme des intensités par phase</t>
  </si>
  <si>
    <t>Type de courant</t>
  </si>
  <si>
    <t>arrondi</t>
  </si>
  <si>
    <t xml:space="preserve">Courant Max </t>
  </si>
  <si>
    <t>monophasé</t>
  </si>
  <si>
    <t>ANNEXE_PEP-PSR_0018-ed1.2-FR-2024 01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</si>
</sst>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000000_ ;\-#,##0.00000000\ "/>
    <numFmt numFmtId="167" formatCode="_-* #,##0.000000\ _€_-;\-* #,##0.000000\ _€_-;_-* &quot;-&quot;??\ _€_-;_-@_-"/>
    <numFmt numFmtId="168" formatCode="_-* #,##0.000000000\ _€_-;\-* #,##0.000000000\ _€_-;_-* &quot;-&quot;??\ _€_-;_-@_-"/>
    <numFmt numFmtId="169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1" xfId="0" applyFont="1" applyBorder="1"/>
    <xf numFmtId="0" fontId="0" fillId="0" borderId="2" xfId="0" applyBorder="1" applyAlignment="1">
      <alignment wrapText="1"/>
    </xf>
    <xf numFmtId="0" fontId="2" fillId="0" borderId="7" xfId="0" applyFont="1" applyBorder="1"/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3" borderId="0" xfId="0" applyFill="1"/>
    <xf numFmtId="0" fontId="2" fillId="0" borderId="10" xfId="0" applyFont="1" applyBorder="1" applyAlignment="1">
      <alignment horizontal="center"/>
    </xf>
    <xf numFmtId="164" fontId="0" fillId="0" borderId="5" xfId="0" applyNumberFormat="1" applyBorder="1"/>
    <xf numFmtId="0" fontId="0" fillId="0" borderId="0" xfId="0" applyAlignment="1">
      <alignment vertical="center"/>
    </xf>
    <xf numFmtId="0" fontId="2" fillId="0" borderId="9" xfId="0" applyFont="1" applyBorder="1"/>
    <xf numFmtId="0" fontId="2" fillId="6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2" fillId="7" borderId="9" xfId="0" applyFont="1" applyFill="1" applyBorder="1"/>
    <xf numFmtId="0" fontId="0" fillId="7" borderId="10" xfId="0" applyFill="1" applyBorder="1"/>
    <xf numFmtId="0" fontId="0" fillId="7" borderId="11" xfId="0" applyFill="1" applyBorder="1"/>
    <xf numFmtId="0" fontId="6" fillId="0" borderId="0" xfId="0" applyFont="1"/>
    <xf numFmtId="0" fontId="0" fillId="6" borderId="16" xfId="0" applyFill="1" applyBorder="1"/>
    <xf numFmtId="0" fontId="0" fillId="6" borderId="17" xfId="0" applyFill="1" applyBorder="1"/>
    <xf numFmtId="0" fontId="0" fillId="2" borderId="18" xfId="0" applyFill="1" applyBorder="1"/>
    <xf numFmtId="0" fontId="0" fillId="0" borderId="19" xfId="0" applyBorder="1"/>
    <xf numFmtId="0" fontId="0" fillId="2" borderId="12" xfId="0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0" fillId="0" borderId="18" xfId="0" applyBorder="1"/>
    <xf numFmtId="0" fontId="0" fillId="0" borderId="14" xfId="0" applyBorder="1"/>
    <xf numFmtId="0" fontId="0" fillId="0" borderId="15" xfId="0" applyBorder="1"/>
    <xf numFmtId="165" fontId="0" fillId="0" borderId="14" xfId="1" applyNumberFormat="1" applyFont="1" applyBorder="1"/>
    <xf numFmtId="9" fontId="0" fillId="0" borderId="12" xfId="0" applyNumberFormat="1" applyBorder="1"/>
    <xf numFmtId="0" fontId="0" fillId="0" borderId="13" xfId="0" applyBorder="1"/>
    <xf numFmtId="0" fontId="0" fillId="0" borderId="12" xfId="0" applyBorder="1"/>
    <xf numFmtId="2" fontId="0" fillId="0" borderId="18" xfId="0" applyNumberFormat="1" applyBorder="1"/>
    <xf numFmtId="2" fontId="0" fillId="0" borderId="12" xfId="0" applyNumberFormat="1" applyBorder="1"/>
    <xf numFmtId="165" fontId="0" fillId="0" borderId="18" xfId="1" applyNumberFormat="1" applyFont="1" applyBorder="1"/>
    <xf numFmtId="165" fontId="0" fillId="0" borderId="12" xfId="1" applyNumberFormat="1" applyFont="1" applyBorder="1"/>
    <xf numFmtId="0" fontId="0" fillId="2" borderId="14" xfId="0" applyFill="1" applyBorder="1"/>
    <xf numFmtId="2" fontId="0" fillId="0" borderId="14" xfId="0" applyNumberFormat="1" applyBorder="1"/>
    <xf numFmtId="165" fontId="0" fillId="0" borderId="14" xfId="0" applyNumberFormat="1" applyBorder="1"/>
    <xf numFmtId="165" fontId="0" fillId="0" borderId="12" xfId="0" applyNumberFormat="1" applyBorder="1"/>
    <xf numFmtId="0" fontId="2" fillId="0" borderId="14" xfId="0" quotePrefix="1" applyFont="1" applyBorder="1" applyAlignment="1">
      <alignment horizontal="center" wrapText="1"/>
    </xf>
    <xf numFmtId="0" fontId="2" fillId="0" borderId="15" xfId="0" quotePrefix="1" applyFont="1" applyBorder="1" applyAlignment="1">
      <alignment horizontal="center" wrapText="1"/>
    </xf>
    <xf numFmtId="9" fontId="0" fillId="0" borderId="14" xfId="2" applyFont="1" applyBorder="1"/>
    <xf numFmtId="11" fontId="0" fillId="0" borderId="16" xfId="0" applyNumberFormat="1" applyBorder="1"/>
    <xf numFmtId="0" fontId="0" fillId="0" borderId="17" xfId="0" applyBorder="1"/>
    <xf numFmtId="0" fontId="0" fillId="7" borderId="16" xfId="0" applyFill="1" applyBorder="1"/>
    <xf numFmtId="0" fontId="0" fillId="7" borderId="17" xfId="0" applyFill="1" applyBorder="1"/>
    <xf numFmtId="0" fontId="0" fillId="2" borderId="12" xfId="0" applyFill="1" applyBorder="1"/>
    <xf numFmtId="0" fontId="0" fillId="0" borderId="15" xfId="0" applyBorder="1" applyAlignment="1">
      <alignment vertical="center"/>
    </xf>
    <xf numFmtId="164" fontId="0" fillId="2" borderId="14" xfId="1" applyFont="1" applyFill="1" applyBorder="1"/>
    <xf numFmtId="0" fontId="0" fillId="2" borderId="14" xfId="0" applyFill="1" applyBorder="1" applyAlignment="1">
      <alignment vertical="center"/>
    </xf>
    <xf numFmtId="9" fontId="0" fillId="2" borderId="12" xfId="2" applyFont="1" applyFill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9" fontId="0" fillId="0" borderId="10" xfId="0" applyNumberFormat="1" applyBorder="1"/>
    <xf numFmtId="0" fontId="0" fillId="0" borderId="9" xfId="0" applyBorder="1"/>
    <xf numFmtId="0" fontId="2" fillId="0" borderId="8" xfId="0" quotePrefix="1" applyFont="1" applyBorder="1" applyAlignment="1">
      <alignment horizontal="center" wrapText="1"/>
    </xf>
    <xf numFmtId="0" fontId="0" fillId="0" borderId="8" xfId="0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3" xfId="0" applyFont="1" applyBorder="1"/>
    <xf numFmtId="0" fontId="0" fillId="0" borderId="14" xfId="0" applyBorder="1" applyAlignment="1">
      <alignment horizontal="right"/>
    </xf>
    <xf numFmtId="1" fontId="0" fillId="8" borderId="14" xfId="0" applyNumberFormat="1" applyFill="1" applyBorder="1"/>
    <xf numFmtId="0" fontId="0" fillId="2" borderId="14" xfId="0" applyFill="1" applyBorder="1" applyAlignment="1">
      <alignment horizontal="right" vertical="center"/>
    </xf>
    <xf numFmtId="164" fontId="0" fillId="0" borderId="0" xfId="0" applyNumberFormat="1"/>
    <xf numFmtId="164" fontId="0" fillId="0" borderId="15" xfId="0" applyNumberFormat="1" applyBorder="1"/>
    <xf numFmtId="166" fontId="0" fillId="0" borderId="0" xfId="0" applyNumberFormat="1"/>
    <xf numFmtId="167" fontId="0" fillId="0" borderId="10" xfId="0" applyNumberFormat="1" applyBorder="1"/>
    <xf numFmtId="165" fontId="0" fillId="0" borderId="2" xfId="0" applyNumberFormat="1" applyBorder="1"/>
    <xf numFmtId="168" fontId="0" fillId="0" borderId="2" xfId="0" applyNumberFormat="1" applyBorder="1"/>
    <xf numFmtId="165" fontId="0" fillId="0" borderId="14" xfId="0" applyNumberFormat="1" applyBorder="1" applyAlignment="1">
      <alignment horizontal="right"/>
    </xf>
    <xf numFmtId="0" fontId="0" fillId="0" borderId="15" xfId="0" applyBorder="1" applyAlignment="1">
      <alignment horizontal="left" vertical="center"/>
    </xf>
    <xf numFmtId="164" fontId="2" fillId="0" borderId="14" xfId="0" quotePrefix="1" applyNumberFormat="1" applyFont="1" applyBorder="1" applyAlignment="1">
      <alignment horizontal="center" wrapText="1"/>
    </xf>
    <xf numFmtId="169" fontId="0" fillId="0" borderId="14" xfId="2" applyNumberFormat="1" applyFont="1" applyBorder="1"/>
    <xf numFmtId="169" fontId="0" fillId="0" borderId="12" xfId="0" applyNumberFormat="1" applyBorder="1"/>
    <xf numFmtId="0" fontId="0" fillId="0" borderId="10" xfId="0" applyBorder="1" applyAlignment="1">
      <alignment horizontal="right"/>
    </xf>
    <xf numFmtId="0" fontId="0" fillId="0" borderId="20" xfId="0" applyBorder="1"/>
    <xf numFmtId="11" fontId="0" fillId="4" borderId="16" xfId="0" applyNumberFormat="1" applyFill="1" applyBorder="1" applyAlignment="1">
      <alignment horizontal="center"/>
    </xf>
    <xf numFmtId="11" fontId="0" fillId="4" borderId="10" xfId="0" applyNumberFormat="1" applyFill="1" applyBorder="1" applyAlignment="1">
      <alignment horizontal="center"/>
    </xf>
    <xf numFmtId="11" fontId="0" fillId="4" borderId="16" xfId="0" applyNumberFormat="1" applyFill="1" applyBorder="1" applyAlignment="1">
      <alignment horizontal="right"/>
    </xf>
    <xf numFmtId="11" fontId="0" fillId="4" borderId="17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4" fontId="2" fillId="3" borderId="14" xfId="0" quotePrefix="1" applyNumberFormat="1" applyFont="1" applyFill="1" applyBorder="1" applyAlignment="1">
      <alignment horizontal="center"/>
    </xf>
    <xf numFmtId="0" fontId="2" fillId="3" borderId="15" xfId="0" quotePrefix="1" applyFont="1" applyFill="1" applyBorder="1" applyAlignment="1">
      <alignment horizontal="center"/>
    </xf>
    <xf numFmtId="0" fontId="2" fillId="3" borderId="8" xfId="0" quotePrefix="1" applyFont="1" applyFill="1" applyBorder="1" applyAlignment="1">
      <alignment horizontal="center"/>
    </xf>
    <xf numFmtId="0" fontId="2" fillId="0" borderId="18" xfId="0" quotePrefix="1" applyFont="1" applyBorder="1" applyAlignment="1">
      <alignment horizontal="center" wrapText="1"/>
    </xf>
    <xf numFmtId="0" fontId="2" fillId="0" borderId="19" xfId="0" quotePrefix="1" applyFont="1" applyBorder="1" applyAlignment="1">
      <alignment horizontal="center" wrapText="1"/>
    </xf>
    <xf numFmtId="0" fontId="2" fillId="0" borderId="3" xfId="0" quotePrefix="1" applyFont="1" applyBorder="1" applyAlignment="1">
      <alignment horizontal="center" wrapText="1"/>
    </xf>
    <xf numFmtId="2" fontId="2" fillId="3" borderId="14" xfId="0" quotePrefix="1" applyNumberFormat="1" applyFont="1" applyFill="1" applyBorder="1" applyAlignment="1">
      <alignment horizontal="center" wrapText="1"/>
    </xf>
    <xf numFmtId="2" fontId="2" fillId="3" borderId="15" xfId="0" quotePrefix="1" applyNumberFormat="1" applyFont="1" applyFill="1" applyBorder="1" applyAlignment="1">
      <alignment horizontal="center" wrapText="1"/>
    </xf>
    <xf numFmtId="2" fontId="2" fillId="3" borderId="8" xfId="0" quotePrefix="1" applyNumberFormat="1" applyFont="1" applyFill="1" applyBorder="1" applyAlignment="1">
      <alignment horizontal="center" wrapText="1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18" xfId="0" quotePrefix="1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11" fontId="0" fillId="4" borderId="17" xfId="0" applyNumberFormat="1" applyFill="1" applyBorder="1" applyAlignment="1">
      <alignment horizontal="center"/>
    </xf>
    <xf numFmtId="0" fontId="2" fillId="0" borderId="14" xfId="0" quotePrefix="1" applyFont="1" applyBorder="1" applyAlignment="1">
      <alignment horizontal="center" wrapText="1"/>
    </xf>
    <xf numFmtId="0" fontId="2" fillId="0" borderId="15" xfId="0" quotePrefix="1" applyFont="1" applyBorder="1" applyAlignment="1">
      <alignment horizontal="center" wrapText="1"/>
    </xf>
    <xf numFmtId="164" fontId="0" fillId="4" borderId="16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70"/>
  <sheetViews>
    <sheetView showGridLines="0" tabSelected="1" zoomScale="70" zoomScaleNormal="70" workbookViewId="0">
      <pane ySplit="8" topLeftCell="A9" activePane="bottomLeft" state="frozen"/>
      <selection pane="bottomLeft" activeCell="Z18" sqref="Z18"/>
    </sheetView>
  </sheetViews>
  <sheetFormatPr defaultColWidth="11.42578125" defaultRowHeight="15" x14ac:dyDescent="0.25"/>
  <cols>
    <col min="1" max="1" width="69.140625" customWidth="1"/>
    <col min="2" max="2" width="12.85546875" bestFit="1" customWidth="1"/>
    <col min="3" max="4" width="11.5703125"/>
    <col min="5" max="5" width="3.28515625" customWidth="1"/>
    <col min="6" max="6" width="23.7109375" customWidth="1"/>
    <col min="7" max="7" width="11.5703125"/>
    <col min="8" max="8" width="11.85546875" bestFit="1" customWidth="1"/>
    <col min="9" max="9" width="3.5703125" customWidth="1"/>
    <col min="10" max="10" width="15.85546875" customWidth="1"/>
    <col min="11" max="12" width="11.5703125"/>
    <col min="13" max="13" width="3.85546875" customWidth="1"/>
    <col min="14" max="14" width="14" customWidth="1"/>
    <col min="15" max="15" width="11.5703125"/>
    <col min="16" max="16" width="11.85546875" bestFit="1" customWidth="1"/>
    <col min="17" max="17" width="3.5703125" customWidth="1"/>
    <col min="18" max="18" width="13" customWidth="1"/>
    <col min="19" max="19" width="11.5703125" customWidth="1"/>
  </cols>
  <sheetData>
    <row r="1" spans="1:19" ht="15.75" thickBot="1" x14ac:dyDescent="0.3">
      <c r="A1" t="s">
        <v>69</v>
      </c>
    </row>
    <row r="2" spans="1:19" x14ac:dyDescent="0.25">
      <c r="A2" s="97" t="s">
        <v>51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</row>
    <row r="3" spans="1:19" ht="15.75" thickBo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2"/>
    </row>
    <row r="5" spans="1:19" x14ac:dyDescent="0.25">
      <c r="A5" s="34" t="s">
        <v>57</v>
      </c>
      <c r="B5" s="1"/>
      <c r="C5" t="s">
        <v>58</v>
      </c>
      <c r="F5" s="23"/>
      <c r="G5" t="s">
        <v>59</v>
      </c>
    </row>
    <row r="6" spans="1:19" ht="15.75" thickBot="1" x14ac:dyDescent="0.3"/>
    <row r="7" spans="1:19" x14ac:dyDescent="0.25">
      <c r="A7" s="2"/>
      <c r="B7" s="112" t="s">
        <v>16</v>
      </c>
      <c r="C7" s="113"/>
      <c r="D7" s="4"/>
      <c r="E7" s="4"/>
      <c r="F7" s="112" t="s">
        <v>63</v>
      </c>
      <c r="G7" s="113"/>
      <c r="H7" s="3"/>
      <c r="I7" s="4"/>
      <c r="J7" s="112" t="s">
        <v>22</v>
      </c>
      <c r="K7" s="113"/>
      <c r="L7" s="4"/>
      <c r="M7" s="4"/>
      <c r="N7" s="112" t="s">
        <v>47</v>
      </c>
      <c r="O7" s="113"/>
      <c r="P7" s="3"/>
      <c r="Q7" s="4"/>
      <c r="R7" s="112" t="s">
        <v>47</v>
      </c>
      <c r="S7" s="114"/>
    </row>
    <row r="8" spans="1:19" ht="15.75" thickBot="1" x14ac:dyDescent="0.3">
      <c r="A8" s="6" t="s">
        <v>23</v>
      </c>
      <c r="B8" s="115" t="s">
        <v>24</v>
      </c>
      <c r="C8" s="116"/>
      <c r="D8" s="8"/>
      <c r="E8" s="8"/>
      <c r="F8" s="115" t="s">
        <v>60</v>
      </c>
      <c r="G8" s="116"/>
      <c r="H8" s="8"/>
      <c r="I8" s="8"/>
      <c r="J8" s="115" t="s">
        <v>61</v>
      </c>
      <c r="K8" s="116"/>
      <c r="L8" s="8"/>
      <c r="M8" s="8"/>
      <c r="N8" s="115" t="s">
        <v>60</v>
      </c>
      <c r="O8" s="116"/>
      <c r="P8" s="8"/>
      <c r="Q8" s="8"/>
      <c r="R8" s="115" t="s">
        <v>61</v>
      </c>
      <c r="S8" s="117"/>
    </row>
    <row r="9" spans="1:19" ht="15.75" thickBot="1" x14ac:dyDescent="0.3">
      <c r="A9" s="71"/>
      <c r="B9" s="68"/>
      <c r="C9" s="24"/>
      <c r="D9" s="21"/>
      <c r="E9" s="21"/>
      <c r="F9" s="69"/>
      <c r="G9" s="21"/>
      <c r="H9" s="21"/>
      <c r="I9" s="21"/>
      <c r="J9" s="69"/>
      <c r="K9" s="21"/>
      <c r="L9" s="21"/>
      <c r="M9" s="21"/>
      <c r="N9" s="69"/>
      <c r="O9" s="21"/>
      <c r="P9" s="21"/>
      <c r="Q9" s="21"/>
      <c r="R9" s="69"/>
      <c r="S9" s="22"/>
    </row>
    <row r="10" spans="1:19" ht="15.75" thickBot="1" x14ac:dyDescent="0.3">
      <c r="A10" s="28" t="s">
        <v>56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</row>
    <row r="11" spans="1:19" ht="15.75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</row>
    <row r="12" spans="1:19" ht="15.75" thickBot="1" x14ac:dyDescent="0.3">
      <c r="A12" s="71"/>
      <c r="B12" s="68"/>
      <c r="C12" s="24"/>
      <c r="D12" s="21"/>
      <c r="E12" s="21"/>
      <c r="F12" s="69"/>
      <c r="G12" s="21"/>
      <c r="H12" s="21"/>
      <c r="I12" s="21"/>
      <c r="J12" s="69"/>
      <c r="K12" s="21"/>
      <c r="L12" s="21"/>
      <c r="M12" s="21"/>
      <c r="N12" s="69"/>
      <c r="O12" s="21"/>
      <c r="P12" s="21"/>
      <c r="Q12" s="21"/>
      <c r="R12" s="69"/>
      <c r="S12" s="22"/>
    </row>
    <row r="13" spans="1:19" x14ac:dyDescent="0.25">
      <c r="A13" s="2" t="s">
        <v>10</v>
      </c>
      <c r="B13" s="37">
        <v>3.7</v>
      </c>
      <c r="C13" s="38" t="s">
        <v>11</v>
      </c>
      <c r="D13" s="4"/>
      <c r="E13" s="4"/>
      <c r="F13" s="37">
        <v>22</v>
      </c>
      <c r="G13" s="38" t="s">
        <v>11</v>
      </c>
      <c r="H13" s="4"/>
      <c r="I13" s="4"/>
      <c r="J13" s="37">
        <v>22</v>
      </c>
      <c r="K13" s="38" t="s">
        <v>11</v>
      </c>
      <c r="L13" s="4"/>
      <c r="M13" s="4"/>
      <c r="N13" s="37">
        <v>22</v>
      </c>
      <c r="O13" s="38" t="s">
        <v>11</v>
      </c>
      <c r="P13" s="4"/>
      <c r="Q13" s="4"/>
      <c r="R13" s="37">
        <v>50</v>
      </c>
      <c r="S13" s="5" t="s">
        <v>11</v>
      </c>
    </row>
    <row r="14" spans="1:19" x14ac:dyDescent="0.25">
      <c r="A14" s="10" t="s">
        <v>65</v>
      </c>
      <c r="B14" s="42"/>
      <c r="C14" s="43"/>
      <c r="F14" s="52" t="s">
        <v>68</v>
      </c>
      <c r="G14" s="43"/>
      <c r="J14" s="52" t="s">
        <v>68</v>
      </c>
      <c r="K14" s="43"/>
      <c r="N14" s="42"/>
      <c r="O14" s="43"/>
      <c r="R14" s="42"/>
      <c r="S14" s="11"/>
    </row>
    <row r="15" spans="1:19" x14ac:dyDescent="0.25">
      <c r="A15" s="10"/>
      <c r="B15" s="42"/>
      <c r="C15" s="43"/>
      <c r="F15" s="42">
        <v>1</v>
      </c>
      <c r="G15" s="43"/>
      <c r="J15" s="42">
        <f>IF(J14="triphasé",3,1)</f>
        <v>1</v>
      </c>
      <c r="K15" s="43"/>
      <c r="N15" s="42"/>
      <c r="O15" s="43"/>
      <c r="R15" s="42"/>
      <c r="S15" s="11"/>
    </row>
    <row r="16" spans="1:19" ht="15.75" thickBot="1" x14ac:dyDescent="0.3">
      <c r="A16" s="10" t="s">
        <v>67</v>
      </c>
      <c r="B16" s="39"/>
      <c r="C16" s="43"/>
      <c r="F16" s="63">
        <v>32</v>
      </c>
      <c r="G16" s="43"/>
      <c r="J16" s="63">
        <v>16</v>
      </c>
      <c r="K16" s="43"/>
      <c r="N16" s="39"/>
      <c r="O16" s="43"/>
      <c r="R16" s="39"/>
      <c r="S16" s="11"/>
    </row>
    <row r="17" spans="1:19" ht="15.75" thickBot="1" x14ac:dyDescent="0.3">
      <c r="A17" s="6" t="s">
        <v>25</v>
      </c>
      <c r="B17" s="39">
        <v>1</v>
      </c>
      <c r="C17" s="40"/>
      <c r="D17" s="8"/>
      <c r="E17" s="8"/>
      <c r="F17" s="63">
        <v>1</v>
      </c>
      <c r="G17" s="46" t="s">
        <v>26</v>
      </c>
      <c r="H17" s="8"/>
      <c r="I17" s="8"/>
      <c r="J17" s="63">
        <v>1</v>
      </c>
      <c r="K17" s="46" t="s">
        <v>27</v>
      </c>
      <c r="L17" s="8"/>
      <c r="M17" s="8"/>
      <c r="N17" s="63">
        <v>1</v>
      </c>
      <c r="O17" s="46" t="s">
        <v>26</v>
      </c>
      <c r="P17" s="8"/>
      <c r="Q17" s="8"/>
      <c r="R17" s="63">
        <v>1</v>
      </c>
      <c r="S17" s="9" t="s">
        <v>27</v>
      </c>
    </row>
    <row r="18" spans="1:19" ht="15.75" thickBot="1" x14ac:dyDescent="0.3">
      <c r="A18" s="71"/>
      <c r="B18" s="24"/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</row>
    <row r="19" spans="1:19" ht="15.75" thickBot="1" x14ac:dyDescent="0.3">
      <c r="A19" s="28" t="s">
        <v>55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</row>
    <row r="20" spans="1:19" ht="15.75" thickBot="1" x14ac:dyDescent="0.3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</row>
    <row r="21" spans="1:19" x14ac:dyDescent="0.25">
      <c r="A21" s="2" t="s">
        <v>0</v>
      </c>
      <c r="B21" s="74">
        <v>10</v>
      </c>
      <c r="C21" s="75" t="s">
        <v>3</v>
      </c>
      <c r="D21" s="4"/>
      <c r="E21" s="4"/>
      <c r="F21" s="74">
        <v>10</v>
      </c>
      <c r="G21" s="75" t="s">
        <v>3</v>
      </c>
      <c r="H21" s="4"/>
      <c r="I21" s="4"/>
      <c r="J21" s="74">
        <v>10</v>
      </c>
      <c r="K21" s="75" t="s">
        <v>3</v>
      </c>
      <c r="L21" s="4"/>
      <c r="M21" s="4"/>
      <c r="N21" s="74">
        <v>10</v>
      </c>
      <c r="O21" s="75" t="s">
        <v>3</v>
      </c>
      <c r="P21" s="4"/>
      <c r="Q21" s="4"/>
      <c r="R21" s="74">
        <v>10</v>
      </c>
      <c r="S21" s="76" t="s">
        <v>3</v>
      </c>
    </row>
    <row r="22" spans="1:19" x14ac:dyDescent="0.25">
      <c r="A22" s="10" t="s">
        <v>1</v>
      </c>
      <c r="B22" s="42">
        <v>43</v>
      </c>
      <c r="C22" s="43" t="s">
        <v>4</v>
      </c>
      <c r="F22" s="42">
        <v>43</v>
      </c>
      <c r="G22" s="43" t="s">
        <v>4</v>
      </c>
      <c r="J22" s="42" t="s">
        <v>38</v>
      </c>
      <c r="K22" s="43" t="s">
        <v>4</v>
      </c>
      <c r="N22" s="42" t="s">
        <v>38</v>
      </c>
      <c r="O22" s="43" t="s">
        <v>4</v>
      </c>
      <c r="R22" s="42" t="s">
        <v>38</v>
      </c>
      <c r="S22" s="11" t="s">
        <v>4</v>
      </c>
    </row>
    <row r="23" spans="1:19" x14ac:dyDescent="0.25">
      <c r="A23" s="10" t="s">
        <v>44</v>
      </c>
      <c r="B23" s="42">
        <v>2</v>
      </c>
      <c r="C23" s="43" t="s">
        <v>45</v>
      </c>
      <c r="F23" s="42">
        <v>2</v>
      </c>
      <c r="G23" s="43" t="s">
        <v>45</v>
      </c>
      <c r="J23" s="42">
        <v>2</v>
      </c>
      <c r="K23" s="43" t="s">
        <v>46</v>
      </c>
      <c r="N23" s="42">
        <v>4</v>
      </c>
      <c r="O23" s="43" t="s">
        <v>46</v>
      </c>
      <c r="R23" s="42">
        <v>10</v>
      </c>
      <c r="S23" s="11" t="s">
        <v>46</v>
      </c>
    </row>
    <row r="24" spans="1:19" x14ac:dyDescent="0.25">
      <c r="A24" s="10" t="s">
        <v>15</v>
      </c>
      <c r="B24" s="44">
        <f>B23*52*B21</f>
        <v>1040</v>
      </c>
      <c r="C24" s="43"/>
      <c r="F24" s="44">
        <f>F23*52*F21*F17</f>
        <v>1040</v>
      </c>
      <c r="G24" s="43"/>
      <c r="J24" s="44">
        <f>J23*365*J21*J17</f>
        <v>7300</v>
      </c>
      <c r="K24" s="43"/>
      <c r="N24" s="44">
        <f>N23*365*N21*N17</f>
        <v>14600</v>
      </c>
      <c r="O24" s="43"/>
      <c r="R24" s="44">
        <f>R23*365*R21*R17</f>
        <v>36500</v>
      </c>
      <c r="S24" s="11"/>
    </row>
    <row r="25" spans="1:19" ht="15.75" thickBot="1" x14ac:dyDescent="0.3">
      <c r="A25" s="6" t="s">
        <v>2</v>
      </c>
      <c r="B25" s="45">
        <v>0.9</v>
      </c>
      <c r="C25" s="46"/>
      <c r="D25" s="8"/>
      <c r="E25" s="8"/>
      <c r="F25" s="45">
        <v>0.9</v>
      </c>
      <c r="G25" s="46"/>
      <c r="H25" s="8"/>
      <c r="I25" s="8"/>
      <c r="J25" s="45"/>
      <c r="K25" s="46"/>
      <c r="L25" s="8"/>
      <c r="M25" s="8"/>
      <c r="N25" s="45"/>
      <c r="O25" s="46"/>
      <c r="P25" s="8"/>
      <c r="Q25" s="8"/>
      <c r="R25" s="45"/>
      <c r="S25" s="9"/>
    </row>
    <row r="26" spans="1:19" ht="15.75" thickBot="1" x14ac:dyDescent="0.3">
      <c r="A26" s="71"/>
      <c r="B26" s="70"/>
      <c r="C26" s="21"/>
      <c r="D26" s="21"/>
      <c r="E26" s="21"/>
      <c r="F26" s="70"/>
      <c r="G26" s="21"/>
      <c r="H26" s="21"/>
      <c r="I26" s="21"/>
      <c r="J26" s="70"/>
      <c r="K26" s="21"/>
      <c r="L26" s="21"/>
      <c r="M26" s="21"/>
      <c r="N26" s="70"/>
      <c r="O26" s="21"/>
      <c r="P26" s="21"/>
      <c r="Q26" s="21"/>
      <c r="R26" s="70"/>
      <c r="S26" s="22"/>
    </row>
    <row r="27" spans="1:19" x14ac:dyDescent="0.25">
      <c r="A27" s="2" t="s">
        <v>12</v>
      </c>
      <c r="B27" s="41">
        <f>B22*7*B25</f>
        <v>270.90000000000003</v>
      </c>
      <c r="C27" s="38" t="s">
        <v>4</v>
      </c>
      <c r="D27" s="4"/>
      <c r="E27" s="4"/>
      <c r="F27" s="41">
        <f>F22*7*F25</f>
        <v>270.90000000000003</v>
      </c>
      <c r="G27" s="38" t="s">
        <v>4</v>
      </c>
      <c r="H27" s="4"/>
      <c r="I27" s="4"/>
      <c r="J27" s="41"/>
      <c r="K27" s="38"/>
      <c r="L27" s="4"/>
      <c r="M27" s="4"/>
      <c r="N27" s="41"/>
      <c r="O27" s="38"/>
      <c r="P27" s="4"/>
      <c r="Q27" s="4"/>
      <c r="R27" s="41"/>
      <c r="S27" s="5"/>
    </row>
    <row r="28" spans="1:19" x14ac:dyDescent="0.25">
      <c r="A28" s="10" t="s">
        <v>5</v>
      </c>
      <c r="B28" s="42">
        <f>B27/B23</f>
        <v>135.45000000000002</v>
      </c>
      <c r="C28" s="43" t="s">
        <v>4</v>
      </c>
      <c r="F28" s="42">
        <f>F27/F23</f>
        <v>135.45000000000002</v>
      </c>
      <c r="G28" s="43" t="s">
        <v>4</v>
      </c>
      <c r="J28" s="42"/>
      <c r="K28" s="43"/>
      <c r="N28" s="42"/>
      <c r="O28" s="43"/>
      <c r="R28" s="42"/>
      <c r="S28" s="11"/>
    </row>
    <row r="29" spans="1:19" x14ac:dyDescent="0.25">
      <c r="A29" s="10" t="s">
        <v>6</v>
      </c>
      <c r="B29" s="42">
        <v>20</v>
      </c>
      <c r="C29" s="43" t="s">
        <v>7</v>
      </c>
      <c r="F29" s="42">
        <v>20</v>
      </c>
      <c r="G29" s="43" t="s">
        <v>7</v>
      </c>
      <c r="J29" s="42">
        <v>20</v>
      </c>
      <c r="K29" s="43" t="s">
        <v>7</v>
      </c>
      <c r="N29" s="42">
        <v>20</v>
      </c>
      <c r="O29" s="43" t="s">
        <v>7</v>
      </c>
      <c r="R29" s="42">
        <v>20</v>
      </c>
      <c r="S29" s="11" t="s">
        <v>7</v>
      </c>
    </row>
    <row r="30" spans="1:19" ht="15.75" thickBot="1" x14ac:dyDescent="0.3">
      <c r="A30" s="6" t="s">
        <v>8</v>
      </c>
      <c r="B30" s="47">
        <f>B29*B28/100</f>
        <v>27.090000000000003</v>
      </c>
      <c r="C30" s="46" t="s">
        <v>9</v>
      </c>
      <c r="D30" s="8"/>
      <c r="E30" s="8"/>
      <c r="F30" s="47">
        <f>F29*F28/100</f>
        <v>27.090000000000003</v>
      </c>
      <c r="G30" s="46" t="s">
        <v>9</v>
      </c>
      <c r="H30" s="8"/>
      <c r="I30" s="8"/>
      <c r="J30" s="47">
        <f>J13*J32</f>
        <v>66</v>
      </c>
      <c r="K30" s="46" t="s">
        <v>9</v>
      </c>
      <c r="L30" s="8"/>
      <c r="M30" s="8"/>
      <c r="N30" s="47">
        <f>N13*N32</f>
        <v>22</v>
      </c>
      <c r="O30" s="46" t="s">
        <v>9</v>
      </c>
      <c r="P30" s="8"/>
      <c r="Q30" s="8"/>
      <c r="R30" s="47">
        <f>R13*R32</f>
        <v>50</v>
      </c>
      <c r="S30" s="9" t="s">
        <v>9</v>
      </c>
    </row>
    <row r="31" spans="1:19" ht="15.75" thickBot="1" x14ac:dyDescent="0.3">
      <c r="A31" s="7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  <row r="32" spans="1:19" x14ac:dyDescent="0.25">
      <c r="A32" s="2" t="s">
        <v>34</v>
      </c>
      <c r="B32" s="48">
        <f>B30/B13</f>
        <v>7.3216216216216221</v>
      </c>
      <c r="C32" s="38" t="s">
        <v>13</v>
      </c>
      <c r="D32" s="4"/>
      <c r="E32" s="4"/>
      <c r="F32" s="48">
        <f>F30/F13</f>
        <v>1.2313636363636364</v>
      </c>
      <c r="G32" s="38" t="s">
        <v>13</v>
      </c>
      <c r="H32" s="4"/>
      <c r="I32" s="4"/>
      <c r="J32" s="48">
        <v>3</v>
      </c>
      <c r="K32" s="38" t="s">
        <v>13</v>
      </c>
      <c r="L32" s="4"/>
      <c r="M32" s="4"/>
      <c r="N32" s="48">
        <v>1</v>
      </c>
      <c r="O32" s="38" t="s">
        <v>13</v>
      </c>
      <c r="P32" s="4"/>
      <c r="Q32" s="4"/>
      <c r="R32" s="48">
        <v>1</v>
      </c>
      <c r="S32" s="5" t="s">
        <v>13</v>
      </c>
    </row>
    <row r="33" spans="1:19" ht="15.75" thickBot="1" x14ac:dyDescent="0.3">
      <c r="A33" s="6" t="s">
        <v>35</v>
      </c>
      <c r="B33" s="49">
        <v>12</v>
      </c>
      <c r="C33" s="46" t="s">
        <v>13</v>
      </c>
      <c r="D33" s="8"/>
      <c r="E33" s="8"/>
      <c r="F33" s="49">
        <v>12</v>
      </c>
      <c r="G33" s="46" t="s">
        <v>13</v>
      </c>
      <c r="H33" s="8"/>
      <c r="I33" s="8"/>
      <c r="J33" s="49">
        <f>J32</f>
        <v>3</v>
      </c>
      <c r="K33" s="46" t="s">
        <v>13</v>
      </c>
      <c r="L33" s="8"/>
      <c r="M33" s="8"/>
      <c r="N33" s="49">
        <v>1</v>
      </c>
      <c r="O33" s="46" t="s">
        <v>13</v>
      </c>
      <c r="P33" s="8"/>
      <c r="Q33" s="8"/>
      <c r="R33" s="49">
        <v>1</v>
      </c>
      <c r="S33" s="9" t="s">
        <v>13</v>
      </c>
    </row>
    <row r="34" spans="1:19" ht="15.75" thickBot="1" x14ac:dyDescent="0.3">
      <c r="A34" s="7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</row>
    <row r="35" spans="1:19" x14ac:dyDescent="0.25">
      <c r="A35" s="2" t="s">
        <v>14</v>
      </c>
      <c r="B35" s="50">
        <f>B27/7*365*B21</f>
        <v>141255.00000000003</v>
      </c>
      <c r="C35" s="38" t="s">
        <v>4</v>
      </c>
      <c r="D35" s="4"/>
      <c r="E35" s="4"/>
      <c r="F35" s="50">
        <f>F27/7*365*F21</f>
        <v>141255.00000000003</v>
      </c>
      <c r="G35" s="38" t="s">
        <v>4</v>
      </c>
      <c r="H35" s="4"/>
      <c r="I35" s="4"/>
      <c r="J35" s="50">
        <f>J36/J29*100</f>
        <v>2409000</v>
      </c>
      <c r="K35" s="38" t="s">
        <v>4</v>
      </c>
      <c r="L35" s="4"/>
      <c r="M35" s="4"/>
      <c r="N35" s="50">
        <f>N36/N29*100</f>
        <v>1606000</v>
      </c>
      <c r="O35" s="38" t="s">
        <v>4</v>
      </c>
      <c r="P35" s="4"/>
      <c r="Q35" s="4"/>
      <c r="R35" s="50">
        <f>R36/R29*100</f>
        <v>9125000</v>
      </c>
      <c r="S35" s="5" t="s">
        <v>4</v>
      </c>
    </row>
    <row r="36" spans="1:19" ht="30.75" thickBot="1" x14ac:dyDescent="0.3">
      <c r="A36" s="12" t="s">
        <v>50</v>
      </c>
      <c r="B36" s="51">
        <f>B35/100*B29</f>
        <v>28251.000000000004</v>
      </c>
      <c r="C36" s="46" t="s">
        <v>9</v>
      </c>
      <c r="D36" s="8"/>
      <c r="E36" s="8"/>
      <c r="F36" s="51">
        <f>F35*F29/100</f>
        <v>28251.000000000004</v>
      </c>
      <c r="G36" s="46" t="s">
        <v>9</v>
      </c>
      <c r="H36" s="25">
        <f>F36/F35*100</f>
        <v>20</v>
      </c>
      <c r="I36" s="8"/>
      <c r="J36" s="51">
        <f>J13*J32*J24</f>
        <v>481800</v>
      </c>
      <c r="K36" s="46" t="s">
        <v>9</v>
      </c>
      <c r="L36" s="8"/>
      <c r="M36" s="8"/>
      <c r="N36" s="51">
        <f>N13*N32*N24</f>
        <v>321200</v>
      </c>
      <c r="O36" s="46" t="s">
        <v>9</v>
      </c>
      <c r="P36" s="25"/>
      <c r="Q36" s="8"/>
      <c r="R36" s="51">
        <f>R13*R32*R24</f>
        <v>1825000</v>
      </c>
      <c r="S36" s="9" t="s">
        <v>9</v>
      </c>
    </row>
    <row r="37" spans="1:19" ht="15.75" thickBot="1" x14ac:dyDescent="0.3">
      <c r="A37" s="7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</row>
    <row r="38" spans="1:19" ht="15.75" thickBot="1" x14ac:dyDescent="0.3">
      <c r="A38" s="28" t="s">
        <v>54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</row>
    <row r="39" spans="1:19" ht="15.75" thickBot="1" x14ac:dyDescent="0.3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9"/>
    </row>
    <row r="40" spans="1:19" ht="30" x14ac:dyDescent="0.25">
      <c r="A40" s="13" t="s">
        <v>17</v>
      </c>
      <c r="B40" s="118" t="s">
        <v>18</v>
      </c>
      <c r="C40" s="119"/>
      <c r="D40" s="14"/>
      <c r="E40" s="14"/>
      <c r="F40" s="118" t="s">
        <v>18</v>
      </c>
      <c r="G40" s="119"/>
      <c r="H40" s="14"/>
      <c r="I40" s="14"/>
      <c r="J40" s="118" t="s">
        <v>18</v>
      </c>
      <c r="K40" s="119"/>
      <c r="L40" s="4"/>
      <c r="M40" s="4"/>
      <c r="N40" s="118" t="s">
        <v>49</v>
      </c>
      <c r="O40" s="119"/>
      <c r="P40" s="14"/>
      <c r="Q40" s="14"/>
      <c r="R40" s="118" t="s">
        <v>49</v>
      </c>
      <c r="S40" s="120"/>
    </row>
    <row r="41" spans="1:19" x14ac:dyDescent="0.25">
      <c r="A41" s="15"/>
      <c r="B41" s="103">
        <f ca="1">(B40*B41*B41*B42*B43)/1000</f>
        <v>0</v>
      </c>
      <c r="C41" s="104"/>
      <c r="D41" t="s">
        <v>9</v>
      </c>
      <c r="F41" s="103">
        <f>(IF(F15=1,2*F43*F44*F44,3*F43*F44*F44)*F17)*F45*F46/1000</f>
        <v>20.981648290909096</v>
      </c>
      <c r="G41" s="104"/>
      <c r="H41" t="s">
        <v>9</v>
      </c>
      <c r="J41" s="103">
        <f>(IF(J15=1,2*J43*J44*J44,3*J43*J44*J44)*J17)*J45*J46/1000</f>
        <v>3205.9281663516072</v>
      </c>
      <c r="K41" s="104"/>
      <c r="L41" t="s">
        <v>9</v>
      </c>
      <c r="N41" s="103">
        <f>(1-N47)*N36</f>
        <v>19272.000000000018</v>
      </c>
      <c r="O41" s="104"/>
      <c r="P41" t="s">
        <v>9</v>
      </c>
      <c r="R41" s="103">
        <f>(1-R47)*R36</f>
        <v>109500.0000000001</v>
      </c>
      <c r="S41" s="105"/>
    </row>
    <row r="42" spans="1:19" x14ac:dyDescent="0.25">
      <c r="A42" s="10" t="s">
        <v>19</v>
      </c>
      <c r="B42" s="42"/>
      <c r="C42" s="43"/>
      <c r="F42" s="42"/>
      <c r="G42" s="81">
        <f>3*0.008*32*32</f>
        <v>24.576000000000001</v>
      </c>
      <c r="H42">
        <f>(IF(F15=1,2*F43*F44*F44,3*F43*F44*F44)*F17)</f>
        <v>16.384</v>
      </c>
      <c r="J42" s="42"/>
      <c r="K42" s="43"/>
      <c r="N42" s="42"/>
      <c r="O42" s="43"/>
      <c r="R42" s="42"/>
      <c r="S42" s="11"/>
    </row>
    <row r="43" spans="1:19" x14ac:dyDescent="0.25">
      <c r="A43" s="10" t="s">
        <v>62</v>
      </c>
      <c r="B43" s="52"/>
      <c r="C43" s="43" t="s">
        <v>42</v>
      </c>
      <c r="F43" s="52">
        <v>8.0000000000000002E-3</v>
      </c>
      <c r="G43" s="43" t="s">
        <v>42</v>
      </c>
      <c r="J43" s="52">
        <v>8.0000000000000002E-3</v>
      </c>
      <c r="K43" s="43" t="s">
        <v>42</v>
      </c>
      <c r="N43" s="77" t="s">
        <v>38</v>
      </c>
      <c r="O43" s="43" t="s">
        <v>42</v>
      </c>
      <c r="R43" s="77" t="s">
        <v>38</v>
      </c>
      <c r="S43" s="11" t="s">
        <v>42</v>
      </c>
    </row>
    <row r="44" spans="1:19" x14ac:dyDescent="0.25">
      <c r="A44" s="10" t="s">
        <v>64</v>
      </c>
      <c r="B44" s="78">
        <f>B13*1000/230</f>
        <v>16.086956521739129</v>
      </c>
      <c r="C44" s="43" t="s">
        <v>43</v>
      </c>
      <c r="F44" s="78">
        <f>F16</f>
        <v>32</v>
      </c>
      <c r="G44" s="43" t="s">
        <v>43</v>
      </c>
      <c r="J44" s="78">
        <f>J13*1000/(J15*230)</f>
        <v>95.652173913043484</v>
      </c>
      <c r="K44" s="43" t="s">
        <v>43</v>
      </c>
      <c r="N44" s="77" t="s">
        <v>38</v>
      </c>
      <c r="O44" s="43" t="s">
        <v>43</v>
      </c>
      <c r="R44" s="77" t="s">
        <v>38</v>
      </c>
      <c r="S44" s="11" t="s">
        <v>43</v>
      </c>
    </row>
    <row r="45" spans="1:19" x14ac:dyDescent="0.25">
      <c r="A45" s="10" t="s">
        <v>20</v>
      </c>
      <c r="B45" s="53">
        <f>B32</f>
        <v>7.3216216216216221</v>
      </c>
      <c r="C45" s="43" t="s">
        <v>13</v>
      </c>
      <c r="F45" s="53">
        <f>F32</f>
        <v>1.2313636363636364</v>
      </c>
      <c r="G45" s="43" t="s">
        <v>13</v>
      </c>
      <c r="J45" s="53">
        <f>J32</f>
        <v>3</v>
      </c>
      <c r="K45" s="43" t="s">
        <v>13</v>
      </c>
      <c r="N45" s="53">
        <f>N32</f>
        <v>1</v>
      </c>
      <c r="O45" s="43" t="s">
        <v>13</v>
      </c>
      <c r="R45" s="53">
        <f>R32</f>
        <v>1</v>
      </c>
      <c r="S45" s="11" t="s">
        <v>13</v>
      </c>
    </row>
    <row r="46" spans="1:19" x14ac:dyDescent="0.25">
      <c r="A46" s="10" t="s">
        <v>21</v>
      </c>
      <c r="B46" s="54">
        <f>B24</f>
        <v>1040</v>
      </c>
      <c r="C46" s="43"/>
      <c r="F46" s="86">
        <f>F24</f>
        <v>1040</v>
      </c>
      <c r="G46" s="43"/>
      <c r="J46" s="54">
        <f>J24</f>
        <v>7300</v>
      </c>
      <c r="K46" s="43"/>
      <c r="N46" s="54">
        <f>N24</f>
        <v>14600</v>
      </c>
      <c r="O46" s="43"/>
      <c r="R46" s="54">
        <f>R24</f>
        <v>36500</v>
      </c>
      <c r="S46" s="11"/>
    </row>
    <row r="47" spans="1:19" ht="15.75" thickBot="1" x14ac:dyDescent="0.3">
      <c r="A47" s="6" t="s">
        <v>48</v>
      </c>
      <c r="B47" s="55" t="s">
        <v>38</v>
      </c>
      <c r="C47" s="46"/>
      <c r="D47" s="8"/>
      <c r="E47" s="8"/>
      <c r="F47" s="55" t="s">
        <v>38</v>
      </c>
      <c r="G47" s="46"/>
      <c r="H47" s="8"/>
      <c r="I47" s="8"/>
      <c r="J47" s="55" t="s">
        <v>38</v>
      </c>
      <c r="K47" s="46"/>
      <c r="L47" s="8"/>
      <c r="M47" s="8"/>
      <c r="N47" s="67">
        <v>0.94</v>
      </c>
      <c r="O47" s="46"/>
      <c r="P47" s="8"/>
      <c r="Q47" s="8"/>
      <c r="R47" s="67">
        <v>0.94</v>
      </c>
      <c r="S47" s="9"/>
    </row>
    <row r="48" spans="1:19" ht="15.75" thickBot="1" x14ac:dyDescent="0.3">
      <c r="A48" s="2"/>
      <c r="B48" s="84"/>
      <c r="C48" s="4"/>
      <c r="D48" s="4"/>
      <c r="E48" s="4"/>
      <c r="F48" s="85"/>
      <c r="G48" s="4"/>
      <c r="H48" s="4"/>
      <c r="I48" s="4"/>
      <c r="J48" s="84"/>
      <c r="K48" s="4"/>
      <c r="L48" s="4"/>
      <c r="M48" s="4"/>
      <c r="N48" s="84"/>
      <c r="O48" s="4"/>
      <c r="P48" s="4"/>
      <c r="Q48" s="4"/>
      <c r="R48" s="84"/>
      <c r="S48" s="5"/>
    </row>
    <row r="49" spans="1:19" ht="47.25" customHeight="1" x14ac:dyDescent="0.25">
      <c r="A49" s="16" t="s">
        <v>29</v>
      </c>
      <c r="B49" s="106" t="s">
        <v>38</v>
      </c>
      <c r="C49" s="107"/>
      <c r="D49" s="17"/>
      <c r="E49" s="17"/>
      <c r="F49" s="106" t="s">
        <v>30</v>
      </c>
      <c r="G49" s="107"/>
      <c r="H49" s="17"/>
      <c r="I49" s="17"/>
      <c r="J49" s="106" t="s">
        <v>30</v>
      </c>
      <c r="K49" s="107"/>
      <c r="L49" s="4"/>
      <c r="M49" s="4"/>
      <c r="N49" s="106" t="s">
        <v>30</v>
      </c>
      <c r="O49" s="107"/>
      <c r="P49" s="17"/>
      <c r="Q49" s="17"/>
      <c r="R49" s="106" t="s">
        <v>30</v>
      </c>
      <c r="S49" s="108"/>
    </row>
    <row r="50" spans="1:19" x14ac:dyDescent="0.25">
      <c r="A50" s="18"/>
      <c r="B50" s="122"/>
      <c r="C50" s="123"/>
      <c r="D50" s="19"/>
      <c r="E50" s="19"/>
      <c r="F50" s="109">
        <f>((F52*F53)+(F54*F55)+(F56*F57))*(F21*24*365)</f>
        <v>499.96206818181827</v>
      </c>
      <c r="G50" s="110"/>
      <c r="H50" t="s">
        <v>9</v>
      </c>
      <c r="I50" s="19"/>
      <c r="J50" s="109">
        <f>(J52*J53+J54*J55+J56*J57)*(J21*24*365)</f>
        <v>0</v>
      </c>
      <c r="K50" s="110"/>
      <c r="L50" t="s">
        <v>9</v>
      </c>
      <c r="N50" s="109">
        <f>(N52*N53+N54*N55+N56*N57)*(N21*24*365)</f>
        <v>0</v>
      </c>
      <c r="O50" s="110"/>
      <c r="P50" t="s">
        <v>9</v>
      </c>
      <c r="Q50" s="19"/>
      <c r="R50" s="109">
        <f>(R52*R53+R54*R55+R56*R57)*(R21*24*365)</f>
        <v>0</v>
      </c>
      <c r="S50" s="111"/>
    </row>
    <row r="51" spans="1:19" x14ac:dyDescent="0.25">
      <c r="A51" s="18"/>
      <c r="B51" s="56"/>
      <c r="C51" s="57"/>
      <c r="D51" s="19"/>
      <c r="E51" s="19"/>
      <c r="F51" s="88">
        <f>((F52*1.5)+(F54*12.8)+(F56*85.7)+(G42/1000*1.5))*(F21*24*365)</f>
        <v>53226.986400000009</v>
      </c>
      <c r="G51" s="57"/>
      <c r="I51" s="19"/>
      <c r="J51" s="56"/>
      <c r="K51" s="57"/>
      <c r="N51" s="56"/>
      <c r="O51" s="57"/>
      <c r="Q51" s="19"/>
      <c r="R51" s="56"/>
      <c r="S51" s="72"/>
    </row>
    <row r="52" spans="1:19" x14ac:dyDescent="0.25">
      <c r="A52" s="10" t="s">
        <v>31</v>
      </c>
      <c r="B52" s="42"/>
      <c r="C52" s="43"/>
      <c r="F52" s="52">
        <v>6.1999999999999998E-3</v>
      </c>
      <c r="G52" s="43" t="s">
        <v>11</v>
      </c>
      <c r="J52" s="52"/>
      <c r="K52" s="43" t="s">
        <v>11</v>
      </c>
      <c r="N52" s="52"/>
      <c r="O52" s="43" t="s">
        <v>11</v>
      </c>
      <c r="R52" s="52"/>
      <c r="S52" s="11" t="s">
        <v>11</v>
      </c>
    </row>
    <row r="53" spans="1:19" x14ac:dyDescent="0.25">
      <c r="A53" s="10" t="s">
        <v>33</v>
      </c>
      <c r="B53" s="58"/>
      <c r="C53" s="43"/>
      <c r="F53" s="89">
        <f>(F32*F23*51*F17)/(7*24*51)</f>
        <v>1.465909090909091E-2</v>
      </c>
      <c r="G53" s="43"/>
      <c r="J53" s="58">
        <f>(J32*J23*51*J17*7)/(7*24*51)</f>
        <v>0.25</v>
      </c>
      <c r="K53" s="43"/>
      <c r="N53" s="58">
        <f>(N32*N23*51*N17*7)/(7*24*51)</f>
        <v>0.16666666666666666</v>
      </c>
      <c r="O53" s="43"/>
      <c r="R53" s="58">
        <f>(R32*R23*51*R17*7)/(7*24*51)</f>
        <v>0.41666666666666669</v>
      </c>
      <c r="S53" s="11"/>
    </row>
    <row r="54" spans="1:19" x14ac:dyDescent="0.25">
      <c r="A54" s="10" t="s">
        <v>32</v>
      </c>
      <c r="B54" s="42"/>
      <c r="C54" s="43"/>
      <c r="F54" s="52">
        <v>5.7000000000000002E-3</v>
      </c>
      <c r="G54" s="43" t="s">
        <v>11</v>
      </c>
      <c r="J54" s="65">
        <v>0</v>
      </c>
      <c r="K54" s="43" t="s">
        <v>11</v>
      </c>
      <c r="N54" s="52"/>
      <c r="O54" s="43" t="s">
        <v>11</v>
      </c>
      <c r="R54" s="65">
        <v>0</v>
      </c>
      <c r="S54" s="11" t="s">
        <v>11</v>
      </c>
    </row>
    <row r="55" spans="1:19" x14ac:dyDescent="0.25">
      <c r="A55" s="10" t="s">
        <v>36</v>
      </c>
      <c r="B55" s="58"/>
      <c r="C55" s="43"/>
      <c r="F55" s="89">
        <f>((F33-F32)*F23*51*F17)/(7*24*51)</f>
        <v>0.12819805194805195</v>
      </c>
      <c r="G55" s="43"/>
      <c r="J55" s="58">
        <f>((J33-J32)*J23*51*J17*7)/(7*24*51)</f>
        <v>0</v>
      </c>
      <c r="K55" s="43"/>
      <c r="N55" s="58">
        <f>((N33-N32)*N23*51*N17*7)/(7*24*51)</f>
        <v>0</v>
      </c>
      <c r="O55" s="43"/>
      <c r="R55" s="58">
        <f>((R33-R32)*R23*51*R17*7)/(7*24*51)</f>
        <v>0</v>
      </c>
      <c r="S55" s="11"/>
    </row>
    <row r="56" spans="1:19" ht="30" x14ac:dyDescent="0.25">
      <c r="A56" s="20" t="s">
        <v>39</v>
      </c>
      <c r="B56" s="42"/>
      <c r="C56" s="43"/>
      <c r="F56" s="79">
        <v>5.7000000000000002E-3</v>
      </c>
      <c r="G56" s="87" t="s">
        <v>11</v>
      </c>
      <c r="H56" s="26"/>
      <c r="I56" s="26"/>
      <c r="J56" s="66"/>
      <c r="K56" s="64" t="s">
        <v>11</v>
      </c>
      <c r="N56" s="52"/>
      <c r="O56" s="64" t="s">
        <v>11</v>
      </c>
      <c r="P56" s="26"/>
      <c r="Q56" s="26"/>
      <c r="R56" s="66"/>
      <c r="S56" s="73" t="s">
        <v>11</v>
      </c>
    </row>
    <row r="57" spans="1:19" ht="15.75" thickBot="1" x14ac:dyDescent="0.3">
      <c r="A57" s="6" t="s">
        <v>37</v>
      </c>
      <c r="B57" s="45"/>
      <c r="C57" s="46"/>
      <c r="D57" s="8"/>
      <c r="E57" s="8"/>
      <c r="F57" s="90">
        <f>1-F53-F55</f>
        <v>0.85714285714285721</v>
      </c>
      <c r="G57" s="46"/>
      <c r="H57" s="8"/>
      <c r="I57" s="8"/>
      <c r="J57" s="45">
        <f>1-J53-J55</f>
        <v>0.75</v>
      </c>
      <c r="K57" s="46"/>
      <c r="L57" s="8"/>
      <c r="M57" s="8"/>
      <c r="N57" s="45">
        <f>1-N53-N55</f>
        <v>0.83333333333333337</v>
      </c>
      <c r="O57" s="46"/>
      <c r="P57" s="8"/>
      <c r="Q57" s="8"/>
      <c r="R57" s="45">
        <f>1-R53-R55</f>
        <v>0.58333333333333326</v>
      </c>
      <c r="S57" s="9"/>
    </row>
    <row r="58" spans="1:19" ht="15.75" thickBot="1" x14ac:dyDescent="0.3">
      <c r="A58" s="7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</row>
    <row r="59" spans="1:19" ht="15.75" thickBot="1" x14ac:dyDescent="0.3">
      <c r="A59" s="28" t="s">
        <v>53</v>
      </c>
      <c r="B59" s="35"/>
      <c r="C59" s="36"/>
      <c r="D59" s="29"/>
      <c r="E59" s="29"/>
      <c r="F59" s="35"/>
      <c r="G59" s="36"/>
      <c r="H59" s="29"/>
      <c r="I59" s="29"/>
      <c r="J59" s="35"/>
      <c r="K59" s="36"/>
      <c r="L59" s="29"/>
      <c r="M59" s="29"/>
      <c r="N59" s="35"/>
      <c r="O59" s="36"/>
      <c r="P59" s="29"/>
      <c r="Q59" s="29"/>
      <c r="R59" s="35"/>
      <c r="S59" s="30"/>
    </row>
    <row r="60" spans="1:19" ht="15.75" thickBot="1" x14ac:dyDescent="0.3">
      <c r="A60" s="7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</row>
    <row r="61" spans="1:19" ht="15.75" thickBot="1" x14ac:dyDescent="0.3">
      <c r="A61" s="27" t="s">
        <v>28</v>
      </c>
      <c r="B61" s="59">
        <f>1/(B36*B17)</f>
        <v>3.5396977098155815E-5</v>
      </c>
      <c r="C61" s="60"/>
      <c r="D61" s="21"/>
      <c r="E61" s="21"/>
      <c r="F61" s="59">
        <f>1/(F36*F17)</f>
        <v>3.5396977098155815E-5</v>
      </c>
      <c r="G61" s="60"/>
      <c r="H61" s="21"/>
      <c r="I61" s="21"/>
      <c r="J61" s="59">
        <f>1/(J36*J17)</f>
        <v>2.0755500207555001E-6</v>
      </c>
      <c r="K61" s="60"/>
      <c r="L61" s="21"/>
      <c r="M61" s="21"/>
      <c r="N61" s="59">
        <f>1/(N36*N17)</f>
        <v>3.1133250311332503E-6</v>
      </c>
      <c r="O61" s="60"/>
      <c r="P61" s="21"/>
      <c r="Q61" s="21"/>
      <c r="R61" s="59">
        <f>1/(R36*R17)</f>
        <v>5.4794520547945204E-7</v>
      </c>
      <c r="S61" s="22"/>
    </row>
    <row r="62" spans="1:19" ht="15.75" thickBot="1" x14ac:dyDescent="0.3">
      <c r="A62" s="7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2"/>
    </row>
    <row r="63" spans="1:19" ht="15.75" thickBot="1" x14ac:dyDescent="0.3">
      <c r="A63" s="31" t="s">
        <v>52</v>
      </c>
      <c r="B63" s="61"/>
      <c r="C63" s="62"/>
      <c r="D63" s="32"/>
      <c r="E63" s="32"/>
      <c r="F63" s="61"/>
      <c r="G63" s="62"/>
      <c r="H63" s="32"/>
      <c r="I63" s="32"/>
      <c r="J63" s="61"/>
      <c r="K63" s="62"/>
      <c r="L63" s="32"/>
      <c r="M63" s="32"/>
      <c r="N63" s="61"/>
      <c r="O63" s="62"/>
      <c r="P63" s="32"/>
      <c r="Q63" s="32"/>
      <c r="R63" s="61"/>
      <c r="S63" s="33"/>
    </row>
    <row r="64" spans="1:19" ht="15.75" thickBot="1" x14ac:dyDescent="0.3">
      <c r="A64" s="7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2"/>
    </row>
    <row r="65" spans="1:20" ht="15.75" thickBot="1" x14ac:dyDescent="0.3">
      <c r="A65" s="27" t="s">
        <v>40</v>
      </c>
      <c r="B65" s="124">
        <f ca="1">B41+B50</f>
        <v>0</v>
      </c>
      <c r="C65" s="125"/>
      <c r="D65" s="21" t="s">
        <v>9</v>
      </c>
      <c r="E65" s="21"/>
      <c r="F65" s="95">
        <f>F41+F50</f>
        <v>520.94371647272737</v>
      </c>
      <c r="G65" s="96"/>
      <c r="H65" s="21" t="s">
        <v>9</v>
      </c>
      <c r="I65" s="21"/>
      <c r="J65" s="95">
        <f>J41+J50</f>
        <v>3205.9281663516072</v>
      </c>
      <c r="K65" s="96"/>
      <c r="L65" s="21" t="s">
        <v>9</v>
      </c>
      <c r="M65" s="21"/>
      <c r="N65" s="95">
        <f>N41+N50</f>
        <v>19272.000000000018</v>
      </c>
      <c r="O65" s="96"/>
      <c r="P65" s="21" t="s">
        <v>9</v>
      </c>
      <c r="Q65" s="21"/>
      <c r="R65" s="93">
        <f>R41+R50</f>
        <v>109500.0000000001</v>
      </c>
      <c r="S65" s="94"/>
      <c r="T65" s="92" t="s">
        <v>9</v>
      </c>
    </row>
    <row r="66" spans="1:20" ht="15.75" thickBot="1" x14ac:dyDescent="0.3">
      <c r="A66" s="71"/>
      <c r="B66" s="21"/>
      <c r="C66" s="21"/>
      <c r="D66" s="21"/>
      <c r="E66" s="21"/>
      <c r="F66" s="83"/>
      <c r="G66" s="21"/>
      <c r="H66" s="21"/>
      <c r="I66" s="21"/>
      <c r="J66" s="91"/>
      <c r="K66" s="91"/>
      <c r="L66" s="21"/>
      <c r="M66" s="21"/>
      <c r="N66" s="91"/>
      <c r="O66" s="91"/>
      <c r="P66" s="21"/>
      <c r="Q66" s="21"/>
      <c r="R66" s="21"/>
      <c r="S66" s="22"/>
    </row>
    <row r="67" spans="1:20" ht="15.75" thickBot="1" x14ac:dyDescent="0.3">
      <c r="A67" s="27" t="s">
        <v>41</v>
      </c>
      <c r="B67" s="93">
        <f ca="1">(B41+B50)*B61</f>
        <v>0</v>
      </c>
      <c r="C67" s="121"/>
      <c r="D67" s="21" t="s">
        <v>9</v>
      </c>
      <c r="E67" s="21"/>
      <c r="F67" s="95">
        <f>(F41+F50)*F61</f>
        <v>1.8439832801413307E-2</v>
      </c>
      <c r="G67" s="96"/>
      <c r="H67" s="21" t="s">
        <v>9</v>
      </c>
      <c r="I67" s="21"/>
      <c r="J67" s="95">
        <f>(J41+J50)*J61</f>
        <v>6.6540642722117205E-3</v>
      </c>
      <c r="K67" s="96"/>
      <c r="L67" s="21" t="s">
        <v>9</v>
      </c>
      <c r="M67" s="21"/>
      <c r="N67" s="95">
        <f>(N41+N50)*N61</f>
        <v>6.000000000000006E-2</v>
      </c>
      <c r="O67" s="96"/>
      <c r="P67" s="21" t="s">
        <v>9</v>
      </c>
      <c r="Q67" s="21"/>
      <c r="R67" s="93">
        <f>(R41+R50)*R61</f>
        <v>6.0000000000000053E-2</v>
      </c>
      <c r="S67" s="94"/>
      <c r="T67" s="92" t="s">
        <v>9</v>
      </c>
    </row>
    <row r="68" spans="1:20" x14ac:dyDescent="0.25">
      <c r="F68" s="80"/>
    </row>
    <row r="70" spans="1:20" x14ac:dyDescent="0.25">
      <c r="F70" s="82"/>
    </row>
  </sheetData>
  <mergeCells count="41">
    <mergeCell ref="N65:O65"/>
    <mergeCell ref="B7:C7"/>
    <mergeCell ref="F7:G7"/>
    <mergeCell ref="J7:K7"/>
    <mergeCell ref="B49:C49"/>
    <mergeCell ref="F49:G49"/>
    <mergeCell ref="J49:K49"/>
    <mergeCell ref="F40:G40"/>
    <mergeCell ref="J40:K40"/>
    <mergeCell ref="B40:C40"/>
    <mergeCell ref="B41:C41"/>
    <mergeCell ref="B67:C67"/>
    <mergeCell ref="F67:G67"/>
    <mergeCell ref="J67:K67"/>
    <mergeCell ref="B8:C8"/>
    <mergeCell ref="F8:G8"/>
    <mergeCell ref="J8:K8"/>
    <mergeCell ref="F41:G41"/>
    <mergeCell ref="J41:K41"/>
    <mergeCell ref="B50:C50"/>
    <mergeCell ref="F50:G50"/>
    <mergeCell ref="J50:K50"/>
    <mergeCell ref="F65:G65"/>
    <mergeCell ref="J65:K65"/>
    <mergeCell ref="B65:C65"/>
    <mergeCell ref="R65:S65"/>
    <mergeCell ref="N67:O67"/>
    <mergeCell ref="R67:S67"/>
    <mergeCell ref="A2:S3"/>
    <mergeCell ref="N41:O41"/>
    <mergeCell ref="R41:S41"/>
    <mergeCell ref="N49:O49"/>
    <mergeCell ref="R49:S49"/>
    <mergeCell ref="N50:O50"/>
    <mergeCell ref="R50:S50"/>
    <mergeCell ref="N7:O7"/>
    <mergeCell ref="R7:S7"/>
    <mergeCell ref="N8:O8"/>
    <mergeCell ref="R8:S8"/>
    <mergeCell ref="N40:O40"/>
    <mergeCell ref="R40:S40"/>
  </mergeCells>
  <dataValidations count="1">
    <dataValidation type="list" allowBlank="1" showInputMessage="1" showErrorMessage="1" sqref="F14 J14" xr:uid="{00000000-0002-0000-0000-000000000000}">
      <formula1>"monophasé,triphasé"</formula1>
    </dataValidation>
  </dataValidations>
  <pageMargins left="0.7" right="0.7" top="0.75" bottom="0.75" header="0.3" footer="0.3"/>
  <pageSetup paperSize="9" orientation="portrait" horizontalDpi="4294967292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063A-E542-495E-9E35-348C08A7A144}">
  <sheetPr codeName="Feuil2"/>
  <dimension ref="A1"/>
  <sheetViews>
    <sheetView workbookViewId="0"/>
  </sheetViews>
  <sheetFormatPr defaultColWidth="11.42578125" defaultRowHeight="15" x14ac:dyDescent="0.25"/>
  <sheetData>
    <row r="1" spans="1:1" x14ac:dyDescent="0.25">
      <c r="A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2793AA8A5FA144A9CD96D961D69B07" ma:contentTypeVersion="13" ma:contentTypeDescription="Create a new document." ma:contentTypeScope="" ma:versionID="b6b95707a553ec3dae6a688632a851ac">
  <xsd:schema xmlns:xsd="http://www.w3.org/2001/XMLSchema" xmlns:xs="http://www.w3.org/2001/XMLSchema" xmlns:p="http://schemas.microsoft.com/office/2006/metadata/properties" xmlns:ns3="a670e9c9-6b9f-403b-acdc-95571d83ffa4" xmlns:ns4="4d5f77a7-74b8-4e74-9d77-eca10188ba23" targetNamespace="http://schemas.microsoft.com/office/2006/metadata/properties" ma:root="true" ma:fieldsID="5cc7a051e50493f3daea20ae60a1b5bc" ns3:_="" ns4:_="">
    <xsd:import namespace="a670e9c9-6b9f-403b-acdc-95571d83ffa4"/>
    <xsd:import namespace="4d5f77a7-74b8-4e74-9d77-eca10188ba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0e9c9-6b9f-403b-acdc-95571d83ff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f77a7-74b8-4e74-9d77-eca10188ba2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24DE3-E5A5-4FA2-8709-86CC478040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3CC713-1F51-4D0E-BF9D-21ECCDB81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0e9c9-6b9f-403b-acdc-95571d83ffa4"/>
    <ds:schemaRef ds:uri="4d5f77a7-74b8-4e74-9d77-eca10188ba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AF47D-8088-4A52-BF5C-AECF2A3734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DDemain</dc:creator>
  <cp:lastModifiedBy>OHL-GASTEAU Violaine</cp:lastModifiedBy>
  <dcterms:created xsi:type="dcterms:W3CDTF">2020-11-06T14:27:19Z</dcterms:created>
  <dcterms:modified xsi:type="dcterms:W3CDTF">2024-01-22T10:42:25Z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0x010100FF2793AA8A5FA144A9CD96D961D69B07</vt:lpwstr>
  </property>
</Properties>
</file>